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945" yWindow="-15" windowWidth="12240" windowHeight="9240" tabRatio="897"/>
  </bookViews>
  <sheets>
    <sheet name="5year+sale" sheetId="20" r:id="rId1"/>
  </sheets>
  <externalReferences>
    <externalReference r:id="rId2"/>
    <externalReference r:id="rId3"/>
  </externalReferences>
  <definedNames>
    <definedName name="Acquisition_Cost">'[1]Main Assump'!$B$5</definedName>
    <definedName name="AliasTable">#REF!</definedName>
    <definedName name="ALLCASHIRR">'[1]IRR Matx'!$B$18:$N$28</definedName>
    <definedName name="Amortization_Period___Years">"Loan1AmortYrs"</definedName>
    <definedName name="Analysis_Date">'[1]Main Assump'!#REF!</definedName>
    <definedName name="Analysis_Month">'[1]Main Assump'!#REF!</definedName>
    <definedName name="Analysis_Year">'[1]Main Assump'!#REF!</definedName>
    <definedName name="Annual_Fixed_Interest_Rate">"Loan1Interest"</definedName>
    <definedName name="ASS1START">[1]Assump1!$K$10</definedName>
    <definedName name="ASS3START1">[1]Assump3!$B$8</definedName>
    <definedName name="ASS3START2">[1]Assump3!$B$68</definedName>
    <definedName name="Capital_Res_PU">'[1]Main Assump'!$B$49</definedName>
    <definedName name="CondoSales">#REF!</definedName>
    <definedName name="Cost_of_Sale">'[1]Main Assump'!$B$44</definedName>
    <definedName name="_xlnm.Criteria">#REF!</definedName>
    <definedName name="CurrMonth">#REF!</definedName>
    <definedName name="Disclaimer_1">'[1]Main Assump'!$B$66</definedName>
    <definedName name="Disclaimer_2">'[1]Main Assump'!#REF!</definedName>
    <definedName name="Disclaimer_3">'[1]Main Assump'!$B$67</definedName>
    <definedName name="DUMPDOWN">#REF!</definedName>
    <definedName name="DUMPRENT">#REF!</definedName>
    <definedName name="DUMPTURN">#REF!</definedName>
    <definedName name="expenses">#REF!</definedName>
    <definedName name="GOI">#REF!</definedName>
    <definedName name="Lease_Term">'[1]Main Assump'!#REF!</definedName>
    <definedName name="Ledger">#REF!</definedName>
    <definedName name="LEVIRR">'[1]IRR Matx'!$B$33:$N$43</definedName>
    <definedName name="Loan1Amount">'[1]Main Assump'!$C$18</definedName>
    <definedName name="Loan1DebtServ">'[1]Main Assump'!$C$27</definedName>
    <definedName name="Loan1Interest">'[1]Main Assump'!$B$25</definedName>
    <definedName name="Loan1Name">'[1]Main Assump'!$B$15</definedName>
    <definedName name="Loan1OrigAmort">'[1]Main Assump'!$B$26</definedName>
    <definedName name="Loan1PmtsRemain">'[1]Main Assump'!$C$29</definedName>
    <definedName name="Loan1Points">'[1]Main Assump'!$B$24</definedName>
    <definedName name="Loan2Amount">'[1]Main Assump'!$E$18</definedName>
    <definedName name="Loan2DebtServ">'[1]Main Assump'!$E$27</definedName>
    <definedName name="Loan2Interest">'[1]Main Assump'!$D$25</definedName>
    <definedName name="Loan2Name">'[1]Main Assump'!$D$15</definedName>
    <definedName name="Loan2OrigAmort">'[1]Main Assump'!$D$26</definedName>
    <definedName name="Loan2PmtsRemain">'[1]Main Assump'!$E$29</definedName>
    <definedName name="Loan2Points">'[1]Main Assump'!$D$24</definedName>
    <definedName name="Loan3Amount">'[1]Main Assump'!$G$18</definedName>
    <definedName name="Loan3DebtServ">'[1]Main Assump'!$G$27</definedName>
    <definedName name="Loan3Interest">'[1]Main Assump'!$F$25</definedName>
    <definedName name="Loan3Name">'[1]Main Assump'!$F$15</definedName>
    <definedName name="Loan3OrigAmort">'[1]Main Assump'!$F$26</definedName>
    <definedName name="Loan3PmtsRemain">'[1]Main Assump'!$G$29</definedName>
    <definedName name="Loan3Points">'[1]Main Assump'!$F$24</definedName>
    <definedName name="LTV">#REF!</definedName>
    <definedName name="Management_Fee_Percent">'[1]Main Assump'!$B$63</definedName>
    <definedName name="NOIACTUAL">#REF!</definedName>
    <definedName name="NOIPROFORMA">#REF!</definedName>
    <definedName name="otherincome">#REF!</definedName>
    <definedName name="price">'5year+sale'!$E$43</definedName>
    <definedName name="_xlnm.Print_Area" localSheetId="0">'5year+sale'!$A$1:$T$58</definedName>
    <definedName name="Project_Name">'[2]Main Assump'!$A$2</definedName>
    <definedName name="Rent_Type_Matrix">#REF!</definedName>
    <definedName name="RENTASSUMPTIONS">#REF!</definedName>
    <definedName name="RENTDATA">#REF!</definedName>
    <definedName name="RentLookup">#REF!</definedName>
    <definedName name="RENTOUTPUT">#REF!</definedName>
    <definedName name="RentRoll">#REF!</definedName>
    <definedName name="RentTable">#REF!</definedName>
    <definedName name="Reversion_Cap_Rate">'[1]Main Assump'!$B$43</definedName>
    <definedName name="RUNDOWN">#REF!</definedName>
    <definedName name="RUNRENT">#REF!</definedName>
    <definedName name="RUNTURN">#REF!</definedName>
    <definedName name="Scenario">#REF!</definedName>
    <definedName name="Start_Month">'[1]Main Assump'!#REF!</definedName>
    <definedName name="TABLEDOWN">#REF!</definedName>
    <definedName name="TABLERENT">#REF!</definedName>
    <definedName name="TABLETURN">#REF!</definedName>
    <definedName name="Title">#REF!</definedName>
    <definedName name="TOTAL">'[1]Main Assump'!$C$6</definedName>
    <definedName name="Total_SF">'[1]Rent Assump'!$I$8</definedName>
    <definedName name="totalsf">#REF!</definedName>
    <definedName name="TotalUnits">#REF!</definedName>
    <definedName name="Turnover_Time_Days">'[1]Main Assump'!#REF!</definedName>
    <definedName name="Turnover_Time_Year_One">[1]Year1!#REF!</definedName>
    <definedName name="Unit_Code">'[1]Rent Assump'!$C$10:$C$60</definedName>
    <definedName name="Unit_Description">'[1]Rent Assump'!$D$10:$D$60</definedName>
    <definedName name="Unit_Total">'[1]Main Assump'!$B$6</definedName>
    <definedName name="UNITDOWN">#REF!</definedName>
    <definedName name="UNITRENT">#REF!</definedName>
    <definedName name="units">#REF!</definedName>
    <definedName name="UNITTURN">#REF!</definedName>
    <definedName name="vacancy">#REF!</definedName>
    <definedName name="Vacancy_Bad_Debt_Year_One">'[1]Main Assump'!#REF!</definedName>
    <definedName name="Year">#REF!</definedName>
    <definedName name="Year_Built">'[1]Main Assump'!#REF!</definedName>
    <definedName name="Year_One_Op_Exp">'[1]Main Assump'!$B$58</definedName>
    <definedName name="Year_One_Other_Inc_Inc">'[1]Main Assump'!$B$53</definedName>
    <definedName name="Year_One_Start_Date">'[1]Main Assump'!#REF!</definedName>
    <definedName name="Year_One_Start_Month">'[1]Main Assump'!#REF!</definedName>
    <definedName name="Year_One_Start_Year">'[1]Main Assump'!#REF!</definedName>
    <definedName name="YR1START">[1]Year1!$F$15</definedName>
  </definedNames>
  <calcPr calcId="145621"/>
</workbook>
</file>

<file path=xl/calcChain.xml><?xml version="1.0" encoding="utf-8"?>
<calcChain xmlns="http://schemas.openxmlformats.org/spreadsheetml/2006/main">
  <c r="Q55" i="20" l="1"/>
  <c r="Q54" i="20"/>
  <c r="Q45" i="20"/>
  <c r="Q36" i="20"/>
  <c r="Q6" i="20" l="1"/>
  <c r="D83" i="20" l="1"/>
  <c r="Q31" i="20"/>
  <c r="U31" i="20" s="1"/>
  <c r="Q40" i="20"/>
  <c r="G17" i="20"/>
  <c r="I45" i="20"/>
  <c r="I46" i="20" s="1"/>
  <c r="G19" i="20" s="1"/>
  <c r="G18" i="20" l="1"/>
  <c r="G20" i="20" s="1"/>
  <c r="K18" i="20"/>
  <c r="H18" i="20"/>
  <c r="I18" i="20"/>
  <c r="J18" i="20"/>
  <c r="G6" i="20"/>
  <c r="G21" i="20" l="1"/>
  <c r="U40" i="20"/>
  <c r="G22" i="20"/>
  <c r="G27" i="20"/>
  <c r="Q23" i="20"/>
  <c r="I20" i="20"/>
  <c r="H5" i="20"/>
  <c r="K22" i="20"/>
  <c r="J22" i="20"/>
  <c r="I22" i="20"/>
  <c r="H22" i="20"/>
  <c r="H19" i="20"/>
  <c r="H27" i="20" s="1"/>
  <c r="K20" i="20" l="1"/>
  <c r="Q50" i="20"/>
  <c r="Q8" i="20"/>
  <c r="Q9" i="20" s="1"/>
  <c r="Q15" i="20" s="1"/>
  <c r="J20" i="20"/>
  <c r="H20" i="20"/>
  <c r="I5" i="20"/>
  <c r="Q17" i="20"/>
  <c r="Q25" i="20" s="1"/>
  <c r="G7" i="20"/>
  <c r="G8" i="20" s="1"/>
  <c r="I19" i="20"/>
  <c r="U50" i="20" l="1"/>
  <c r="H21" i="20"/>
  <c r="G9" i="20"/>
  <c r="G10" i="20" s="1"/>
  <c r="I21" i="20"/>
  <c r="I27" i="20"/>
  <c r="J19" i="20"/>
  <c r="I6" i="20"/>
  <c r="I7" i="20" s="1"/>
  <c r="H6" i="20"/>
  <c r="H7" i="20" s="1"/>
  <c r="J5" i="20"/>
  <c r="J6" i="20" s="1"/>
  <c r="I8" i="20" l="1"/>
  <c r="I9" i="20" s="1"/>
  <c r="H8" i="20"/>
  <c r="H9" i="20" s="1"/>
  <c r="J21" i="20"/>
  <c r="J27" i="20"/>
  <c r="K19" i="20"/>
  <c r="J7" i="20"/>
  <c r="K5" i="20"/>
  <c r="L5" i="20" l="1"/>
  <c r="K6" i="20"/>
  <c r="K7" i="20" s="1"/>
  <c r="K21" i="20"/>
  <c r="K27" i="20"/>
  <c r="J8" i="20"/>
  <c r="J9" i="20" s="1"/>
  <c r="K8" i="20" l="1"/>
  <c r="K9" i="20" s="1"/>
  <c r="L6" i="20"/>
  <c r="L7" i="20" s="1"/>
  <c r="L8" i="20" l="1"/>
  <c r="L9" i="20" s="1"/>
  <c r="G11" i="20" l="1"/>
  <c r="G13" i="20" s="1"/>
  <c r="H12" i="20" l="1"/>
  <c r="I12" i="20" s="1"/>
  <c r="J12" i="20" s="1"/>
  <c r="K12" i="20" s="1"/>
  <c r="L12" i="20" s="1"/>
  <c r="H10" i="20"/>
  <c r="H11" i="20" s="1"/>
  <c r="I10" i="20"/>
  <c r="I11" i="20" s="1"/>
  <c r="J10" i="20"/>
  <c r="J11" i="20" s="1"/>
  <c r="K10" i="20"/>
  <c r="K11" i="20" s="1"/>
  <c r="L10" i="20"/>
  <c r="L11" i="20" s="1"/>
  <c r="K13" i="20" l="1"/>
  <c r="L13" i="20"/>
  <c r="H13" i="20"/>
  <c r="J13" i="20"/>
  <c r="G16" i="20"/>
  <c r="E51" i="20" s="1"/>
  <c r="I13" i="20"/>
  <c r="H15" i="20"/>
  <c r="Q32" i="20" l="1"/>
  <c r="G23" i="20"/>
  <c r="G24" i="20" s="1"/>
  <c r="G29" i="20" s="1"/>
  <c r="G26" i="20"/>
  <c r="G28" i="20" s="1"/>
  <c r="E52" i="20" s="1"/>
  <c r="I15" i="20"/>
  <c r="H16" i="20"/>
  <c r="Q33" i="20" s="1"/>
  <c r="U33" i="20" l="1"/>
  <c r="U32" i="20"/>
  <c r="J15" i="20"/>
  <c r="I16" i="20"/>
  <c r="Q34" i="20" s="1"/>
  <c r="G30" i="20"/>
  <c r="Q51" i="20" s="1"/>
  <c r="Q41" i="20"/>
  <c r="H26" i="20"/>
  <c r="H28" i="20" s="1"/>
  <c r="Q42" i="20" s="1"/>
  <c r="H23" i="20"/>
  <c r="H24" i="20" s="1"/>
  <c r="H29" i="20" s="1"/>
  <c r="U34" i="20" l="1"/>
  <c r="U41" i="20"/>
  <c r="U51" i="20"/>
  <c r="H30" i="20"/>
  <c r="Q52" i="20" s="1"/>
  <c r="U42" i="20"/>
  <c r="I26" i="20"/>
  <c r="I28" i="20" s="1"/>
  <c r="Q43" i="20" s="1"/>
  <c r="I23" i="20"/>
  <c r="I24" i="20" s="1"/>
  <c r="I29" i="20" s="1"/>
  <c r="K15" i="20"/>
  <c r="J16" i="20"/>
  <c r="U43" i="20" l="1"/>
  <c r="U52" i="20"/>
  <c r="J26" i="20"/>
  <c r="J23" i="20"/>
  <c r="J24" i="20" s="1"/>
  <c r="J29" i="20" s="1"/>
  <c r="L15" i="20"/>
  <c r="L16" i="20" s="1"/>
  <c r="Q13" i="20" s="1"/>
  <c r="K16" i="20"/>
  <c r="I30" i="20"/>
  <c r="J28" i="20" l="1"/>
  <c r="Q44" i="20" s="1"/>
  <c r="Q35" i="20"/>
  <c r="Q21" i="20"/>
  <c r="Q14" i="20"/>
  <c r="Q22" i="20" s="1"/>
  <c r="Q53" i="20"/>
  <c r="K23" i="20"/>
  <c r="K24" i="20" s="1"/>
  <c r="K29" i="20" s="1"/>
  <c r="K26" i="20"/>
  <c r="J30" i="20" l="1"/>
  <c r="U35" i="20"/>
  <c r="U44" i="20"/>
  <c r="K28" i="20"/>
  <c r="U54" i="20"/>
  <c r="U53" i="20"/>
  <c r="Q16" i="20"/>
  <c r="Q24" i="20"/>
  <c r="S36" i="20" l="1"/>
  <c r="K30" i="20"/>
  <c r="Q18" i="20"/>
  <c r="Q26" i="20" s="1"/>
  <c r="Q27" i="20" s="1"/>
  <c r="S55" i="20" s="1"/>
  <c r="S45" i="20"/>
  <c r="U36" i="20" l="1"/>
  <c r="S29" i="20" s="1"/>
  <c r="U55" i="20"/>
  <c r="S48" i="20" s="1"/>
  <c r="U45" i="20"/>
  <c r="S38" i="20" s="1"/>
  <c r="S57" i="20" l="1"/>
</calcChain>
</file>

<file path=xl/sharedStrings.xml><?xml version="1.0" encoding="utf-8"?>
<sst xmlns="http://schemas.openxmlformats.org/spreadsheetml/2006/main" count="93" uniqueCount="76">
  <si>
    <t xml:space="preserve"> Plus: Other Income</t>
  </si>
  <si>
    <t>Total Potential Market Income</t>
  </si>
  <si>
    <t>Effective Rental Income</t>
  </si>
  <si>
    <t xml:space="preserve"> Less: loss to market lease</t>
  </si>
  <si>
    <t xml:space="preserve"> Less: Loss to lease</t>
  </si>
  <si>
    <t xml:space="preserve"> Less: vacancy</t>
  </si>
  <si>
    <t>Total Income</t>
  </si>
  <si>
    <t>ADS</t>
  </si>
  <si>
    <t>LTV</t>
  </si>
  <si>
    <t>Total Operating Expenses</t>
  </si>
  <si>
    <t>Net Operating Income</t>
  </si>
  <si>
    <t>Gross Operating Income</t>
  </si>
  <si>
    <t>Year</t>
  </si>
  <si>
    <t>Calculated for 1st year of next owners, ownership</t>
  </si>
  <si>
    <t>Sales Worksheet</t>
  </si>
  <si>
    <t>Increases</t>
  </si>
  <si>
    <t>Calculation of Adjusted Basis</t>
  </si>
  <si>
    <t>Basis at Acquisition</t>
  </si>
  <si>
    <t>Total Potential Income (Max Rent)</t>
  </si>
  <si>
    <t>+ Capital Additions</t>
  </si>
  <si>
    <t>-Cost Recovery (Depreciation) Taken</t>
  </si>
  <si>
    <t>=Adjusted Basis at Sale</t>
  </si>
  <si>
    <t>Calculation of Capital Gain</t>
  </si>
  <si>
    <t>Disposition CAP Rate</t>
  </si>
  <si>
    <t>Sale Price</t>
  </si>
  <si>
    <t>-Costs of Sale</t>
  </si>
  <si>
    <t xml:space="preserve">-Adjusted Basis at Sale </t>
  </si>
  <si>
    <t>=Gain or (Loss)</t>
  </si>
  <si>
    <t>-Straight Line Cost Recovery (limited to gain)</t>
  </si>
  <si>
    <t>Mortgage Balance</t>
  </si>
  <si>
    <t>=Capital Gain from Appreciation</t>
  </si>
  <si>
    <t>-</t>
  </si>
  <si>
    <t>Principal Reduction</t>
  </si>
  <si>
    <t>Calculation of Sales Proceeds after tax</t>
  </si>
  <si>
    <t>=</t>
  </si>
  <si>
    <t>Mortgage interest</t>
  </si>
  <si>
    <t xml:space="preserve">Sale Price </t>
  </si>
  <si>
    <t>cost recovery (annual)</t>
  </si>
  <si>
    <t>yrs @</t>
  </si>
  <si>
    <t>includes mid month</t>
  </si>
  <si>
    <t>-Cost of Sale</t>
  </si>
  <si>
    <t>Taxable Income</t>
  </si>
  <si>
    <t>-Mortgage Balance(s)</t>
  </si>
  <si>
    <t xml:space="preserve">Tax on income at ordinary income rate of </t>
  </si>
  <si>
    <t>=Sale Proceeds Before Tax</t>
  </si>
  <si>
    <t>-Tax: Straight Line Recapture at</t>
  </si>
  <si>
    <t>NOI</t>
  </si>
  <si>
    <t>-Tax on Capital Gains at</t>
  </si>
  <si>
    <t>Annual Debt Service</t>
  </si>
  <si>
    <t>=SALE PROCEEDS AFTER TAX:</t>
  </si>
  <si>
    <t>Cash Flow Before Tax</t>
  </si>
  <si>
    <t>Less Ordinary Income Tax</t>
  </si>
  <si>
    <t>Cash Flow After Tax</t>
  </si>
  <si>
    <t>IRR Before tax =</t>
  </si>
  <si>
    <t>true t-bars</t>
  </si>
  <si>
    <t>n</t>
  </si>
  <si>
    <t>$</t>
  </si>
  <si>
    <t>+</t>
  </si>
  <si>
    <t>IRR After tax =</t>
  </si>
  <si>
    <t>Investor's Effective Tax Rate =</t>
  </si>
  <si>
    <t>Inputs</t>
  </si>
  <si>
    <t>Purchase Price</t>
  </si>
  <si>
    <t>Amortz</t>
  </si>
  <si>
    <t>years</t>
  </si>
  <si>
    <t>rate</t>
  </si>
  <si>
    <t>Payment</t>
  </si>
  <si>
    <t>original loan balance</t>
  </si>
  <si>
    <t>IRR</t>
  </si>
  <si>
    <t>No Financing, no tax</t>
  </si>
  <si>
    <t>With financing, no tax</t>
  </si>
  <si>
    <t>With financing, with tax</t>
  </si>
  <si>
    <t>MIP</t>
  </si>
  <si>
    <t>Going in CAP Rate</t>
  </si>
  <si>
    <t>Going in Cash on Cash</t>
  </si>
  <si>
    <t>Interest Rate</t>
  </si>
  <si>
    <t>© 2011 - Todd Clarke CCIM - Cantera Consultants &amp; Advisor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</si>
</sst>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0.0"/>
  </numFmts>
  <fonts count="11" x14ac:knownFonts="1">
    <font>
      <sz val="12"/>
      <name val="garamond"/>
    </font>
    <font>
      <sz val="12"/>
      <name val="Garamond"/>
      <family val="1"/>
    </font>
    <font>
      <b/>
      <sz val="12"/>
      <name val="Garamond"/>
      <family val="1"/>
    </font>
    <font>
      <sz val="10"/>
      <name val="Arial"/>
      <family val="2"/>
    </font>
    <font>
      <sz val="9"/>
      <name val="Tahoma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i/>
      <sz val="11"/>
      <name val="Tahoma"/>
      <family val="2"/>
    </font>
    <font>
      <sz val="12"/>
      <name val="Garamond"/>
      <family val="1"/>
    </font>
    <font>
      <b/>
      <sz val="12"/>
      <color theme="0" tint="-0.249977111117893"/>
      <name val="Garamond"/>
      <family val="1"/>
    </font>
    <font>
      <sz val="12"/>
      <color theme="0" tint="-0.249977111117893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9" fontId="4" fillId="0" borderId="0">
      <alignment horizontal="right"/>
    </xf>
    <xf numFmtId="0" fontId="3" fillId="0" borderId="1" applyNumberFormat="0" applyFont="0" applyFill="0" applyAlignment="0" applyProtection="0"/>
    <xf numFmtId="0" fontId="5" fillId="0" borderId="0" applyNumberFormat="0" applyFill="0" applyBorder="0" applyAlignment="0" applyProtection="0">
      <alignment horizontal="left"/>
    </xf>
    <xf numFmtId="0" fontId="6" fillId="0" borderId="0" applyNumberFormat="0" applyFill="0" applyBorder="0" applyAlignment="0" applyProtection="0">
      <alignment horizontal="left"/>
    </xf>
    <xf numFmtId="0" fontId="3" fillId="0" borderId="1" applyNumberFormat="0" applyFont="0" applyFill="0" applyAlignment="0" applyProtection="0"/>
    <xf numFmtId="0" fontId="3" fillId="0" borderId="2" applyNumberFormat="0" applyFont="0" applyFill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9" fontId="4" fillId="0" borderId="0"/>
    <xf numFmtId="0" fontId="7" fillId="0" borderId="0" applyNumberFormat="0" applyFill="0" applyBorder="0" applyAlignment="0" applyProtection="0">
      <alignment horizontal="left"/>
    </xf>
    <xf numFmtId="0" fontId="3" fillId="0" borderId="3" applyNumberFormat="0" applyFont="0" applyFill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quotePrefix="1"/>
    <xf numFmtId="9" fontId="0" fillId="0" borderId="0" xfId="0" applyNumberFormat="1"/>
    <xf numFmtId="0" fontId="1" fillId="0" borderId="0" xfId="0" applyFont="1"/>
    <xf numFmtId="0" fontId="1" fillId="0" borderId="0" xfId="0" quotePrefix="1" applyFont="1"/>
    <xf numFmtId="166" fontId="0" fillId="0" borderId="0" xfId="0" applyNumberFormat="1"/>
    <xf numFmtId="166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1" applyNumberFormat="1" applyFont="1" applyAlignment="1">
      <alignment horizontal="center"/>
    </xf>
    <xf numFmtId="0" fontId="9" fillId="0" borderId="0" xfId="1" applyNumberFormat="1" applyFont="1" applyAlignment="1">
      <alignment horizontal="center"/>
    </xf>
    <xf numFmtId="166" fontId="10" fillId="0" borderId="0" xfId="0" applyNumberFormat="1" applyFont="1"/>
    <xf numFmtId="166" fontId="0" fillId="0" borderId="4" xfId="0" applyNumberFormat="1" applyBorder="1"/>
    <xf numFmtId="166" fontId="10" fillId="0" borderId="4" xfId="0" applyNumberFormat="1" applyFont="1" applyBorder="1"/>
    <xf numFmtId="166" fontId="10" fillId="0" borderId="0" xfId="0" applyNumberFormat="1" applyFont="1" applyBorder="1"/>
    <xf numFmtId="165" fontId="0" fillId="0" borderId="0" xfId="0" applyNumberFormat="1"/>
    <xf numFmtId="166" fontId="0" fillId="0" borderId="0" xfId="0" applyNumberFormat="1" applyBorder="1"/>
    <xf numFmtId="166" fontId="1" fillId="0" borderId="0" xfId="0" quotePrefix="1" applyNumberFormat="1" applyFont="1"/>
    <xf numFmtId="166" fontId="0" fillId="0" borderId="4" xfId="0" quotePrefix="1" applyNumberFormat="1" applyBorder="1"/>
    <xf numFmtId="0" fontId="2" fillId="0" borderId="0" xfId="0" quotePrefix="1" applyFont="1"/>
    <xf numFmtId="0" fontId="1" fillId="0" borderId="8" xfId="0" applyFont="1" applyBorder="1"/>
    <xf numFmtId="164" fontId="0" fillId="0" borderId="7" xfId="2" quotePrefix="1" applyNumberFormat="1" applyFont="1" applyBorder="1"/>
    <xf numFmtId="166" fontId="0" fillId="0" borderId="7" xfId="0" applyNumberFormat="1" applyBorder="1"/>
    <xf numFmtId="6" fontId="0" fillId="0" borderId="0" xfId="0" quotePrefix="1" applyNumberFormat="1"/>
    <xf numFmtId="164" fontId="0" fillId="0" borderId="0" xfId="2" applyNumberFormat="1" applyFont="1"/>
    <xf numFmtId="164" fontId="0" fillId="2" borderId="0" xfId="2" applyNumberFormat="1" applyFont="1" applyFill="1"/>
    <xf numFmtId="165" fontId="0" fillId="2" borderId="0" xfId="9" applyNumberFormat="1" applyFont="1" applyFill="1"/>
    <xf numFmtId="0" fontId="0" fillId="2" borderId="0" xfId="0" applyFill="1"/>
    <xf numFmtId="9" fontId="1" fillId="2" borderId="0" xfId="9" applyFont="1" applyFill="1"/>
    <xf numFmtId="167" fontId="0" fillId="2" borderId="0" xfId="0" applyNumberFormat="1" applyFill="1"/>
    <xf numFmtId="9" fontId="8" fillId="2" borderId="0" xfId="9" applyFont="1" applyFill="1"/>
    <xf numFmtId="166" fontId="0" fillId="2" borderId="0" xfId="0" applyNumberFormat="1" applyFill="1"/>
    <xf numFmtId="9" fontId="2" fillId="0" borderId="0" xfId="9" applyFont="1"/>
    <xf numFmtId="10" fontId="0" fillId="0" borderId="0" xfId="9" applyNumberFormat="1" applyFont="1"/>
    <xf numFmtId="0" fontId="2" fillId="0" borderId="9" xfId="0" applyFont="1" applyBorder="1"/>
    <xf numFmtId="166" fontId="2" fillId="0" borderId="10" xfId="0" applyNumberFormat="1" applyFont="1" applyBorder="1"/>
    <xf numFmtId="0" fontId="2" fillId="0" borderId="10" xfId="0" applyFont="1" applyBorder="1"/>
    <xf numFmtId="165" fontId="2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8" xfId="0" applyNumberFormat="1" applyBorder="1"/>
    <xf numFmtId="0" fontId="1" fillId="0" borderId="4" xfId="0" quotePrefix="1" applyFont="1" applyBorder="1"/>
    <xf numFmtId="166" fontId="0" fillId="0" borderId="6" xfId="0" applyNumberFormat="1" applyBorder="1"/>
    <xf numFmtId="165" fontId="8" fillId="2" borderId="0" xfId="9" applyNumberFormat="1" applyFont="1" applyFill="1" applyAlignment="1">
      <alignment horizontal="center"/>
    </xf>
    <xf numFmtId="166" fontId="0" fillId="3" borderId="4" xfId="0" applyNumberFormat="1" applyFill="1" applyBorder="1"/>
    <xf numFmtId="166" fontId="0" fillId="4" borderId="0" xfId="0" applyNumberFormat="1" applyFill="1"/>
    <xf numFmtId="166" fontId="0" fillId="2" borderId="4" xfId="0" applyNumberFormat="1" applyFill="1" applyBorder="1"/>
  </cellXfs>
  <cellStyles count="14">
    <cellStyle name="Comma" xfId="1" builtinId="3"/>
    <cellStyle name="Currency" xfId="2" builtinId="4"/>
    <cellStyle name="D" xfId="3"/>
    <cellStyle name="EvenBodyShade" xfId="4"/>
    <cellStyle name="Head1" xfId="5"/>
    <cellStyle name="Head2" xfId="6"/>
    <cellStyle name="Normal" xfId="0" builtinId="0"/>
    <cellStyle name="OddBodyShade" xfId="7"/>
    <cellStyle name="Overscore" xfId="8"/>
    <cellStyle name="Percent" xfId="9" builtinId="5"/>
    <cellStyle name="Reg2" xfId="10"/>
    <cellStyle name="T" xfId="11"/>
    <cellStyle name="Total2" xfId="12"/>
    <cellStyle name="Underscore" xfId="13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Data\10-NMApartmentArchives\Sequoi6101NW\2003Closing\Financials\0Analysis-VillaLadera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data\14-Archive-Apts-Listings\0-GSL-MadeiraCourt-ElPueblo\Financials\0_Analaysis_NMApts_Madeira-v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ssump"/>
      <sheetName val="Rent Assump"/>
      <sheetName val="Sheet1"/>
      <sheetName val="Exec Sum"/>
      <sheetName val="Year1"/>
      <sheetName val="10 Yr"/>
      <sheetName val="Hist"/>
      <sheetName val="Property_Taxes"/>
      <sheetName val="Historical3 years"/>
      <sheetName val="Condo"/>
      <sheetName val="NonProfit"/>
      <sheetName val="RentRoll"/>
      <sheetName val="Demographics"/>
      <sheetName val="Occupancy"/>
      <sheetName val="Assump1"/>
      <sheetName val="Assump2"/>
      <sheetName val="Assump3"/>
      <sheetName val="Loan Amort"/>
      <sheetName val="IRR Matx"/>
      <sheetName val="Unlev. Matx"/>
      <sheetName val="Lever. Matx"/>
      <sheetName val="Module1"/>
      <sheetName val="Module3"/>
      <sheetName val="Module2"/>
    </sheetNames>
    <sheetDataSet>
      <sheetData sheetId="0">
        <row r="5">
          <cell r="B5">
            <v>13125000</v>
          </cell>
        </row>
        <row r="6">
          <cell r="B6">
            <v>280</v>
          </cell>
          <cell r="C6">
            <v>4</v>
          </cell>
        </row>
        <row r="15">
          <cell r="B15" t="str">
            <v>First Mortgage</v>
          </cell>
          <cell r="D15" t="str">
            <v>Second Mortgage</v>
          </cell>
          <cell r="F15" t="str">
            <v>Third Mortgage</v>
          </cell>
        </row>
        <row r="18">
          <cell r="C18">
            <v>5127000</v>
          </cell>
          <cell r="E18">
            <v>4623000</v>
          </cell>
          <cell r="G18">
            <v>0</v>
          </cell>
        </row>
        <row r="24">
          <cell r="B24">
            <v>0.01</v>
          </cell>
          <cell r="D24">
            <v>0.01</v>
          </cell>
          <cell r="F24">
            <v>0.02</v>
          </cell>
        </row>
        <row r="25">
          <cell r="B25">
            <v>7.1249999999999994E-2</v>
          </cell>
          <cell r="D25">
            <v>0.09</v>
          </cell>
          <cell r="F25">
            <v>0.09</v>
          </cell>
        </row>
        <row r="26">
          <cell r="B26">
            <v>30</v>
          </cell>
          <cell r="D26">
            <v>0</v>
          </cell>
          <cell r="F26">
            <v>0</v>
          </cell>
        </row>
        <row r="27">
          <cell r="C27">
            <v>46300</v>
          </cell>
          <cell r="E27">
            <v>34672.5</v>
          </cell>
          <cell r="G27">
            <v>0</v>
          </cell>
        </row>
        <row r="29">
          <cell r="C29">
            <v>169</v>
          </cell>
          <cell r="E29">
            <v>0</v>
          </cell>
          <cell r="G29">
            <v>0</v>
          </cell>
        </row>
        <row r="43">
          <cell r="B43">
            <v>9.2499999999999999E-2</v>
          </cell>
        </row>
        <row r="44">
          <cell r="B44">
            <v>1.4999999999999999E-2</v>
          </cell>
        </row>
        <row r="49">
          <cell r="B49">
            <v>225</v>
          </cell>
        </row>
        <row r="53">
          <cell r="B53">
            <v>0.38598557833232383</v>
          </cell>
        </row>
        <row r="58">
          <cell r="B58">
            <v>0.02</v>
          </cell>
        </row>
        <row r="63">
          <cell r="B63">
            <v>0.03</v>
          </cell>
        </row>
        <row r="66">
          <cell r="B66" t="str">
            <v>This page is part of a package and is subject to the disclaimer as set forth in the Assumptions Section</v>
          </cell>
        </row>
        <row r="67">
          <cell r="B67" t="str">
            <v>Please refer to the disclaimer set forth within this Assumptions Section.</v>
          </cell>
        </row>
      </sheetData>
      <sheetData sheetId="1">
        <row r="8">
          <cell r="I8">
            <v>279860</v>
          </cell>
        </row>
        <row r="10">
          <cell r="C10" t="str">
            <v>A</v>
          </cell>
          <cell r="D10" t="str">
            <v>1X1</v>
          </cell>
        </row>
        <row r="11">
          <cell r="C11" t="str">
            <v>B</v>
          </cell>
          <cell r="D11" t="str">
            <v>2X2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</sheetData>
      <sheetData sheetId="2"/>
      <sheetData sheetId="3"/>
      <sheetData sheetId="4">
        <row r="15">
          <cell r="F15">
            <v>140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K10">
            <v>140</v>
          </cell>
        </row>
      </sheetData>
      <sheetData sheetId="15"/>
      <sheetData sheetId="16">
        <row r="8">
          <cell r="B8">
            <v>140</v>
          </cell>
        </row>
        <row r="68">
          <cell r="B68">
            <v>140</v>
          </cell>
        </row>
      </sheetData>
      <sheetData sheetId="17"/>
      <sheetData sheetId="18">
        <row r="18">
          <cell r="B18" t="str">
            <v>Hold Period</v>
          </cell>
          <cell r="C18" t="str">
            <v>Initial</v>
          </cell>
          <cell r="D18">
            <v>1</v>
          </cell>
          <cell r="E18">
            <v>2</v>
          </cell>
          <cell r="F18">
            <v>3</v>
          </cell>
          <cell r="G18">
            <v>4</v>
          </cell>
          <cell r="H18">
            <v>5</v>
          </cell>
          <cell r="I18">
            <v>6</v>
          </cell>
          <cell r="J18">
            <v>7</v>
          </cell>
          <cell r="K18">
            <v>8</v>
          </cell>
          <cell r="L18">
            <v>9</v>
          </cell>
          <cell r="M18">
            <v>10</v>
          </cell>
          <cell r="N18" t="str">
            <v>IRR's</v>
          </cell>
        </row>
        <row r="19">
          <cell r="B19">
            <v>1</v>
          </cell>
          <cell r="C19">
            <v>-13125000</v>
          </cell>
          <cell r="D19">
            <v>15279650.585672203</v>
          </cell>
          <cell r="N19">
            <v>0.16416385414645371</v>
          </cell>
        </row>
        <row r="20">
          <cell r="B20">
            <v>2</v>
          </cell>
          <cell r="C20">
            <v>-13125000</v>
          </cell>
          <cell r="D20">
            <v>1063145.5856722035</v>
          </cell>
          <cell r="E20">
            <v>15814607.3125974</v>
          </cell>
          <cell r="N20">
            <v>0.13893729828246382</v>
          </cell>
        </row>
        <row r="21">
          <cell r="B21">
            <v>3</v>
          </cell>
          <cell r="C21">
            <v>-13125000</v>
          </cell>
          <cell r="D21">
            <v>1063145.5856722035</v>
          </cell>
          <cell r="E21">
            <v>1270097.3125973991</v>
          </cell>
          <cell r="F21">
            <v>16188176.767283801</v>
          </cell>
          <cell r="N21">
            <v>0.13091958687658709</v>
          </cell>
        </row>
        <row r="22">
          <cell r="B22">
            <v>4</v>
          </cell>
          <cell r="C22">
            <v>-13125000</v>
          </cell>
          <cell r="D22">
            <v>1063145.5856722035</v>
          </cell>
          <cell r="E22">
            <v>1270097.3125973991</v>
          </cell>
          <cell r="F22">
            <v>1306796.7672838017</v>
          </cell>
          <cell r="G22">
            <v>16569714.136316964</v>
          </cell>
          <cell r="N22">
            <v>0.12705785403191641</v>
          </cell>
        </row>
        <row r="23">
          <cell r="B23">
            <v>5</v>
          </cell>
          <cell r="C23">
            <v>-13125000</v>
          </cell>
          <cell r="D23">
            <v>1063145.5856722035</v>
          </cell>
          <cell r="E23">
            <v>1270097.3125973991</v>
          </cell>
          <cell r="F23">
            <v>1306796.7672838017</v>
          </cell>
          <cell r="G23">
            <v>1344569.1363169646</v>
          </cell>
          <cell r="H23">
            <v>16962206.045741417</v>
          </cell>
          <cell r="N23">
            <v>0.1248714473974636</v>
          </cell>
        </row>
        <row r="24">
          <cell r="B24">
            <v>6</v>
          </cell>
          <cell r="C24">
            <v>-13125000</v>
          </cell>
          <cell r="D24">
            <v>1063145.5856722035</v>
          </cell>
          <cell r="E24">
            <v>1270097.3125973991</v>
          </cell>
          <cell r="F24">
            <v>1306796.7672838017</v>
          </cell>
          <cell r="G24">
            <v>1344569.1363169646</v>
          </cell>
          <cell r="H24">
            <v>1383446.0457414165</v>
          </cell>
          <cell r="I24">
            <v>17364700.0591553</v>
          </cell>
          <cell r="N24">
            <v>0.12350117143508574</v>
          </cell>
        </row>
        <row r="25">
          <cell r="B25">
            <v>7</v>
          </cell>
          <cell r="C25">
            <v>-13125000</v>
          </cell>
          <cell r="D25">
            <v>1063145.5856722035</v>
          </cell>
          <cell r="E25">
            <v>1270097.3125973991</v>
          </cell>
          <cell r="F25">
            <v>1306796.7672838017</v>
          </cell>
          <cell r="G25">
            <v>1344569.1363169646</v>
          </cell>
          <cell r="H25">
            <v>1383446.0457414165</v>
          </cell>
          <cell r="I25">
            <v>1423460.0591553007</v>
          </cell>
          <cell r="J25">
            <v>17777229.705612436</v>
          </cell>
          <cell r="N25">
            <v>0.12259055698078318</v>
          </cell>
        </row>
        <row r="26">
          <cell r="B26">
            <v>8</v>
          </cell>
          <cell r="C26">
            <v>-13125000</v>
          </cell>
          <cell r="D26">
            <v>1063145.5856722035</v>
          </cell>
          <cell r="E26">
            <v>1270097.3125973991</v>
          </cell>
          <cell r="F26">
            <v>1306796.7672838017</v>
          </cell>
          <cell r="G26">
            <v>1344569.1363169646</v>
          </cell>
          <cell r="H26">
            <v>1383446.0457414165</v>
          </cell>
          <cell r="I26">
            <v>1423460.0591553007</v>
          </cell>
          <cell r="J26">
            <v>1464644.7056124341</v>
          </cell>
          <cell r="K26">
            <v>18199829.508356929</v>
          </cell>
          <cell r="N26">
            <v>0.12196246830595595</v>
          </cell>
        </row>
        <row r="27">
          <cell r="B27">
            <v>9</v>
          </cell>
          <cell r="C27">
            <v>-13125000</v>
          </cell>
          <cell r="D27">
            <v>1063145.5856722035</v>
          </cell>
          <cell r="E27">
            <v>1270097.3125973991</v>
          </cell>
          <cell r="F27">
            <v>1306796.7672838017</v>
          </cell>
          <cell r="G27">
            <v>1344569.1363169646</v>
          </cell>
          <cell r="H27">
            <v>1383446.0457414165</v>
          </cell>
          <cell r="I27">
            <v>1423460.0591553007</v>
          </cell>
          <cell r="J27">
            <v>1464644.7056124341</v>
          </cell>
          <cell r="K27">
            <v>1507034.5083569307</v>
          </cell>
          <cell r="L27">
            <v>18633520.014415286</v>
          </cell>
          <cell r="N27">
            <v>0.12152362743649128</v>
          </cell>
        </row>
        <row r="28">
          <cell r="B28">
            <v>10</v>
          </cell>
          <cell r="C28">
            <v>-13125000</v>
          </cell>
          <cell r="D28">
            <v>1063145.5856722035</v>
          </cell>
          <cell r="E28">
            <v>1270097.3125973991</v>
          </cell>
          <cell r="F28">
            <v>1306796.7672838017</v>
          </cell>
          <cell r="G28">
            <v>1344569.1363169646</v>
          </cell>
          <cell r="H28">
            <v>1383446.0457414165</v>
          </cell>
          <cell r="I28">
            <v>1423460.0591553007</v>
          </cell>
          <cell r="J28">
            <v>1464644.7056124341</v>
          </cell>
          <cell r="K28">
            <v>1507034.5083569307</v>
          </cell>
          <cell r="L28">
            <v>1550665.0144152846</v>
          </cell>
          <cell r="M28">
            <v>19078337.825071543</v>
          </cell>
          <cell r="N28">
            <v>0.1212134571073183</v>
          </cell>
        </row>
        <row r="33">
          <cell r="B33" t="str">
            <v>Hold Period</v>
          </cell>
          <cell r="C33" t="str">
            <v>Initial</v>
          </cell>
          <cell r="D33">
            <v>1</v>
          </cell>
          <cell r="E33">
            <v>2</v>
          </cell>
          <cell r="F33">
            <v>3</v>
          </cell>
          <cell r="G33">
            <v>4</v>
          </cell>
          <cell r="H33">
            <v>5</v>
          </cell>
          <cell r="I33">
            <v>6</v>
          </cell>
          <cell r="J33">
            <v>7</v>
          </cell>
          <cell r="K33">
            <v>8</v>
          </cell>
          <cell r="L33">
            <v>9</v>
          </cell>
          <cell r="M33">
            <v>10</v>
          </cell>
          <cell r="N33" t="str">
            <v>IRR's</v>
          </cell>
        </row>
        <row r="34">
          <cell r="B34">
            <v>1</v>
          </cell>
          <cell r="C34">
            <v>-3472500</v>
          </cell>
          <cell r="D34">
            <v>4965525.3634775672</v>
          </cell>
          <cell r="N34">
            <v>0.42995690812885851</v>
          </cell>
        </row>
        <row r="35">
          <cell r="B35">
            <v>2</v>
          </cell>
          <cell r="C35">
            <v>-3472500</v>
          </cell>
          <cell r="D35">
            <v>91475.585672203451</v>
          </cell>
          <cell r="E35">
            <v>5727127.3644174244</v>
          </cell>
          <cell r="N35">
            <v>0.29748222831804777</v>
          </cell>
        </row>
        <row r="36">
          <cell r="B36">
            <v>3</v>
          </cell>
          <cell r="C36">
            <v>-3472500</v>
          </cell>
          <cell r="D36">
            <v>91475.585672203451</v>
          </cell>
          <cell r="E36">
            <v>298427.31259739911</v>
          </cell>
          <cell r="F36">
            <v>6344028.4954300346</v>
          </cell>
          <cell r="N36">
            <v>0.25491761584506506</v>
          </cell>
        </row>
        <row r="37">
          <cell r="B37">
            <v>4</v>
          </cell>
          <cell r="C37">
            <v>-3472500</v>
          </cell>
          <cell r="D37">
            <v>91475.585672203451</v>
          </cell>
          <cell r="E37">
            <v>298427.31259739911</v>
          </cell>
          <cell r="F37">
            <v>335126.76728380169</v>
          </cell>
          <cell r="G37">
            <v>6986812.4532621019</v>
          </cell>
          <cell r="N37">
            <v>0.23297054358917449</v>
          </cell>
        </row>
        <row r="38">
          <cell r="B38">
            <v>5</v>
          </cell>
          <cell r="C38">
            <v>-3472500</v>
          </cell>
          <cell r="D38">
            <v>91475.585672203451</v>
          </cell>
          <cell r="E38">
            <v>298427.31259739911</v>
          </cell>
          <cell r="F38">
            <v>335126.76728380169</v>
          </cell>
          <cell r="G38">
            <v>372899.13631696464</v>
          </cell>
          <cell r="H38">
            <v>7659784.8212503148</v>
          </cell>
          <cell r="N38">
            <v>0.21923126883799848</v>
          </cell>
        </row>
        <row r="39">
          <cell r="B39">
            <v>6</v>
          </cell>
          <cell r="C39">
            <v>-3472500</v>
          </cell>
          <cell r="D39">
            <v>91475.585672203451</v>
          </cell>
          <cell r="E39">
            <v>298427.31259739911</v>
          </cell>
          <cell r="F39">
            <v>335126.76728380169</v>
          </cell>
          <cell r="G39">
            <v>372899.13631696464</v>
          </cell>
          <cell r="H39">
            <v>411776.04574141651</v>
          </cell>
          <cell r="I39">
            <v>8363409.2264439538</v>
          </cell>
          <cell r="N39">
            <v>0.20958629576677915</v>
          </cell>
        </row>
        <row r="40">
          <cell r="B40">
            <v>7</v>
          </cell>
          <cell r="C40">
            <v>-3472500</v>
          </cell>
          <cell r="D40">
            <v>91475.585672203451</v>
          </cell>
          <cell r="E40">
            <v>298427.31259739911</v>
          </cell>
          <cell r="F40">
            <v>335126.76728380169</v>
          </cell>
          <cell r="G40">
            <v>372899.13631696464</v>
          </cell>
          <cell r="H40">
            <v>411776.04574141651</v>
          </cell>
          <cell r="I40">
            <v>451790.05915530073</v>
          </cell>
          <cell r="J40">
            <v>9099239.5167953726</v>
          </cell>
          <cell r="N40">
            <v>0.20232414394709183</v>
          </cell>
        </row>
        <row r="41">
          <cell r="B41">
            <v>8</v>
          </cell>
          <cell r="C41">
            <v>-3472500</v>
          </cell>
          <cell r="D41">
            <v>91475.585672203451</v>
          </cell>
          <cell r="E41">
            <v>298427.31259739911</v>
          </cell>
          <cell r="F41">
            <v>335126.76728380169</v>
          </cell>
          <cell r="G41">
            <v>372899.13631696464</v>
          </cell>
          <cell r="H41">
            <v>411776.04574141651</v>
          </cell>
          <cell r="I41">
            <v>451790.05915530073</v>
          </cell>
          <cell r="J41">
            <v>492974.70561243407</v>
          </cell>
          <cell r="K41">
            <v>9868942.465538187</v>
          </cell>
          <cell r="N41">
            <v>0.19659140592008978</v>
          </cell>
        </row>
        <row r="42">
          <cell r="B42">
            <v>9</v>
          </cell>
          <cell r="C42">
            <v>-3472500</v>
          </cell>
          <cell r="D42">
            <v>91475.585672203451</v>
          </cell>
          <cell r="E42">
            <v>298427.31259739911</v>
          </cell>
          <cell r="F42">
            <v>335126.76728380169</v>
          </cell>
          <cell r="G42">
            <v>372899.13631696464</v>
          </cell>
          <cell r="H42">
            <v>411776.04574141651</v>
          </cell>
          <cell r="I42">
            <v>451790.05915530073</v>
          </cell>
          <cell r="J42">
            <v>492974.70561243407</v>
          </cell>
          <cell r="K42">
            <v>535364.50835693069</v>
          </cell>
          <cell r="L42">
            <v>10675291.041530127</v>
          </cell>
          <cell r="N42">
            <v>0.19192101101585771</v>
          </cell>
        </row>
        <row r="43">
          <cell r="B43">
            <v>10</v>
          </cell>
          <cell r="C43">
            <v>-3472500</v>
          </cell>
          <cell r="D43">
            <v>91475.585672203451</v>
          </cell>
          <cell r="E43">
            <v>298427.31259739911</v>
          </cell>
          <cell r="F43">
            <v>335126.76728380169</v>
          </cell>
          <cell r="G43">
            <v>372899.13631696464</v>
          </cell>
          <cell r="H43">
            <v>411776.04574141651</v>
          </cell>
          <cell r="I43">
            <v>451790.05915530073</v>
          </cell>
          <cell r="J43">
            <v>492974.70561243407</v>
          </cell>
          <cell r="K43">
            <v>535364.50835693069</v>
          </cell>
          <cell r="L43">
            <v>578995.01441528462</v>
          </cell>
          <cell r="M43">
            <v>11520203.2871913</v>
          </cell>
          <cell r="N43">
            <v>0.18801821031934984</v>
          </cell>
        </row>
      </sheetData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ofContents"/>
      <sheetName val="Exec Sum"/>
      <sheetName val="Main Assump"/>
      <sheetName val="Rent Assump"/>
      <sheetName val="Year1"/>
      <sheetName val="10 Yr"/>
      <sheetName val="Hist"/>
      <sheetName val="ExpTranslation"/>
      <sheetName val="Property_Taxes"/>
      <sheetName val="Condo"/>
      <sheetName val="NonProfit"/>
      <sheetName val="RentRoll"/>
      <sheetName val="RentComps"/>
      <sheetName val="SalesComps"/>
      <sheetName val="Assump1"/>
      <sheetName val="Assump2"/>
      <sheetName val="Assump3"/>
      <sheetName val="Loan Amort"/>
      <sheetName val="IRR Matx"/>
      <sheetName val="IRR Partition"/>
      <sheetName val="Unlev. Matx"/>
      <sheetName val="Lever. Matx"/>
      <sheetName val="Module1"/>
      <sheetName val="Module3"/>
      <sheetName val="Module2"/>
    </sheetNames>
    <sheetDataSet>
      <sheetData sheetId="0" refreshError="1"/>
      <sheetData sheetId="1" refreshError="1"/>
      <sheetData sheetId="2" refreshError="1">
        <row r="2">
          <cell r="A2" t="str">
            <v>Madeira Court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83"/>
  <sheetViews>
    <sheetView showGridLines="0" tabSelected="1" zoomScale="90" zoomScaleNormal="90" workbookViewId="0"/>
  </sheetViews>
  <sheetFormatPr defaultRowHeight="15.75" x14ac:dyDescent="0.25"/>
  <cols>
    <col min="1" max="1" width="3.625" customWidth="1"/>
    <col min="2" max="2" width="1.875" customWidth="1"/>
    <col min="3" max="3" width="29" bestFit="1" customWidth="1"/>
    <col min="4" max="4" width="5.75" customWidth="1"/>
    <col min="5" max="5" width="14.625" customWidth="1"/>
    <col min="6" max="6" width="5.75" customWidth="1"/>
    <col min="7" max="8" width="10.625" customWidth="1"/>
    <col min="9" max="9" width="11.125" customWidth="1"/>
    <col min="10" max="11" width="10.625" customWidth="1"/>
    <col min="12" max="12" width="12" customWidth="1"/>
    <col min="13" max="13" width="3.625" customWidth="1"/>
    <col min="14" max="14" width="1.625" customWidth="1"/>
    <col min="15" max="15" width="32.625" customWidth="1"/>
    <col min="16" max="16" width="7.625" customWidth="1"/>
    <col min="17" max="17" width="12.625" bestFit="1" customWidth="1"/>
    <col min="18" max="18" width="2.25" customWidth="1"/>
    <col min="19" max="19" width="10.375" bestFit="1" customWidth="1"/>
    <col min="20" max="20" width="1.625" customWidth="1"/>
    <col min="21" max="21" width="12.625" bestFit="1" customWidth="1"/>
  </cols>
  <sheetData>
    <row r="1" spans="2:17" x14ac:dyDescent="0.25">
      <c r="G1" s="8"/>
    </row>
    <row r="2" spans="2:17" x14ac:dyDescent="0.25">
      <c r="G2" s="8"/>
    </row>
    <row r="3" spans="2:17" ht="63" x14ac:dyDescent="0.25">
      <c r="G3" s="9" t="s">
        <v>12</v>
      </c>
      <c r="L3" s="10" t="s">
        <v>13</v>
      </c>
      <c r="M3" s="6"/>
      <c r="O3" s="6" t="s">
        <v>14</v>
      </c>
    </row>
    <row r="4" spans="2:17" x14ac:dyDescent="0.25">
      <c r="G4" s="11">
        <v>1</v>
      </c>
      <c r="H4" s="11">
        <v>2</v>
      </c>
      <c r="I4" s="11">
        <v>3</v>
      </c>
      <c r="J4" s="11">
        <v>4</v>
      </c>
      <c r="K4" s="11">
        <v>5</v>
      </c>
      <c r="L4" s="12">
        <v>6</v>
      </c>
      <c r="M4" s="12"/>
    </row>
    <row r="5" spans="2:17" x14ac:dyDescent="0.25">
      <c r="C5" t="s">
        <v>1</v>
      </c>
      <c r="D5" s="32">
        <v>0.04</v>
      </c>
      <c r="E5" s="6" t="s">
        <v>15</v>
      </c>
      <c r="F5" s="6"/>
      <c r="G5" s="33">
        <v>113340</v>
      </c>
      <c r="H5" s="8">
        <f>+(1+$D5)*G5</f>
        <v>117873.60000000001</v>
      </c>
      <c r="I5" s="8">
        <f>+(1+$D5)*H5</f>
        <v>122588.54400000001</v>
      </c>
      <c r="J5" s="8">
        <f>+(1+$D5)*I5</f>
        <v>127492.08576000002</v>
      </c>
      <c r="K5" s="8">
        <f>+(1+$D5)*J5</f>
        <v>132591.76919040002</v>
      </c>
      <c r="L5" s="13">
        <f>+(1+$D5)*K5</f>
        <v>137895.43995801604</v>
      </c>
      <c r="M5" s="13"/>
      <c r="N5" s="1" t="s">
        <v>16</v>
      </c>
    </row>
    <row r="6" spans="2:17" x14ac:dyDescent="0.25">
      <c r="B6">
        <v>2</v>
      </c>
      <c r="C6" t="s">
        <v>3</v>
      </c>
      <c r="D6" s="32">
        <v>0.18</v>
      </c>
      <c r="G6" s="14">
        <f>+D6*G5</f>
        <v>20401.2</v>
      </c>
      <c r="H6" s="14">
        <f>+$D6*H5</f>
        <v>21217.248</v>
      </c>
      <c r="I6" s="14">
        <f>+$D6*I5</f>
        <v>22065.93792</v>
      </c>
      <c r="J6" s="14">
        <f>+$D6*J5</f>
        <v>22948.575436800002</v>
      </c>
      <c r="K6" s="14">
        <f>+$D6*K5</f>
        <v>23866.518454272002</v>
      </c>
      <c r="L6" s="15">
        <f>+$D6*L5</f>
        <v>24821.179192442887</v>
      </c>
      <c r="M6" s="16"/>
      <c r="N6">
        <v>1</v>
      </c>
      <c r="O6" s="6" t="s">
        <v>17</v>
      </c>
      <c r="Q6" s="8">
        <f>+E43</f>
        <v>439000</v>
      </c>
    </row>
    <row r="7" spans="2:17" x14ac:dyDescent="0.25">
      <c r="B7">
        <v>3</v>
      </c>
      <c r="C7" t="s">
        <v>18</v>
      </c>
      <c r="G7" s="8">
        <f t="shared" ref="G7:L7" si="0">+G5-G6</f>
        <v>92938.8</v>
      </c>
      <c r="H7" s="8">
        <f t="shared" si="0"/>
        <v>96656.352000000014</v>
      </c>
      <c r="I7" s="8">
        <f t="shared" si="0"/>
        <v>100522.60608000001</v>
      </c>
      <c r="J7" s="8">
        <f t="shared" si="0"/>
        <v>104543.51032320001</v>
      </c>
      <c r="K7" s="8">
        <f t="shared" si="0"/>
        <v>108725.25073612801</v>
      </c>
      <c r="L7" s="13">
        <f t="shared" si="0"/>
        <v>113074.26076557316</v>
      </c>
      <c r="M7" s="13"/>
      <c r="N7">
        <v>2</v>
      </c>
      <c r="O7" s="7" t="s">
        <v>19</v>
      </c>
      <c r="Q7" s="33"/>
    </row>
    <row r="8" spans="2:17" x14ac:dyDescent="0.25">
      <c r="B8">
        <v>4</v>
      </c>
      <c r="C8" t="s">
        <v>4</v>
      </c>
      <c r="D8" s="32">
        <v>0.1</v>
      </c>
      <c r="G8" s="14">
        <f>+D8*G7</f>
        <v>9293.880000000001</v>
      </c>
      <c r="H8" s="14">
        <f>+$D8*H7</f>
        <v>9665.6352000000024</v>
      </c>
      <c r="I8" s="14">
        <f>+$D8*I7</f>
        <v>10052.260608000002</v>
      </c>
      <c r="J8" s="14">
        <f>+$D8*J7</f>
        <v>10454.351032320003</v>
      </c>
      <c r="K8" s="14">
        <f>+$D8*K7</f>
        <v>10872.525073612802</v>
      </c>
      <c r="L8" s="15">
        <f>+$D8*L7</f>
        <v>11307.426076557316</v>
      </c>
      <c r="M8" s="16"/>
      <c r="N8">
        <v>3</v>
      </c>
      <c r="O8" s="7" t="s">
        <v>20</v>
      </c>
      <c r="Q8" s="14">
        <f>+SUM(G22:K22)</f>
        <v>62791.367272727264</v>
      </c>
    </row>
    <row r="9" spans="2:17" x14ac:dyDescent="0.25">
      <c r="B9">
        <v>5</v>
      </c>
      <c r="C9" t="s">
        <v>6</v>
      </c>
      <c r="G9" s="8">
        <f t="shared" ref="G9:L9" si="1">+G7-G8</f>
        <v>83644.92</v>
      </c>
      <c r="H9" s="8">
        <f t="shared" si="1"/>
        <v>86990.716800000009</v>
      </c>
      <c r="I9" s="8">
        <f t="shared" si="1"/>
        <v>90470.345472000015</v>
      </c>
      <c r="J9" s="8">
        <f t="shared" si="1"/>
        <v>94089.159290880008</v>
      </c>
      <c r="K9" s="8">
        <f t="shared" si="1"/>
        <v>97852.725662515208</v>
      </c>
      <c r="L9" s="13">
        <f t="shared" si="1"/>
        <v>101766.83468901584</v>
      </c>
      <c r="M9" s="13"/>
      <c r="N9">
        <v>4</v>
      </c>
      <c r="O9" s="7" t="s">
        <v>21</v>
      </c>
      <c r="Q9" s="8">
        <f>+Q6+Q7-Q8</f>
        <v>376208.63272727275</v>
      </c>
    </row>
    <row r="10" spans="2:17" x14ac:dyDescent="0.25">
      <c r="B10">
        <v>6</v>
      </c>
      <c r="C10" t="s">
        <v>5</v>
      </c>
      <c r="D10" s="32">
        <v>0.13</v>
      </c>
      <c r="G10" s="14">
        <f>+D10*G9</f>
        <v>10873.839599999999</v>
      </c>
      <c r="H10" s="14">
        <f>+$D10*H9</f>
        <v>11308.793184000002</v>
      </c>
      <c r="I10" s="14">
        <f>+$D10*I9</f>
        <v>11761.144911360003</v>
      </c>
      <c r="J10" s="14">
        <f>+$D10*J9</f>
        <v>12231.590707814401</v>
      </c>
      <c r="K10" s="14">
        <f>+$D10*K9</f>
        <v>12720.854336126977</v>
      </c>
      <c r="L10" s="15">
        <f>+$D10*L9</f>
        <v>13229.688509572061</v>
      </c>
      <c r="M10" s="16"/>
    </row>
    <row r="11" spans="2:17" x14ac:dyDescent="0.25">
      <c r="B11">
        <v>7</v>
      </c>
      <c r="C11" t="s">
        <v>2</v>
      </c>
      <c r="G11" s="8">
        <f t="shared" ref="G11:L11" si="2">+G9-G10</f>
        <v>72771.080400000006</v>
      </c>
      <c r="H11" s="8">
        <f t="shared" si="2"/>
        <v>75681.923616000015</v>
      </c>
      <c r="I11" s="8">
        <f t="shared" si="2"/>
        <v>78709.20056064002</v>
      </c>
      <c r="J11" s="8">
        <f t="shared" si="2"/>
        <v>81857.568583065615</v>
      </c>
      <c r="K11" s="8">
        <f t="shared" si="2"/>
        <v>85131.871326388238</v>
      </c>
      <c r="L11" s="13">
        <f t="shared" si="2"/>
        <v>88537.146179443778</v>
      </c>
      <c r="M11" s="13"/>
      <c r="N11" s="1" t="s">
        <v>22</v>
      </c>
    </row>
    <row r="12" spans="2:17" x14ac:dyDescent="0.25">
      <c r="B12">
        <v>8</v>
      </c>
      <c r="C12" t="s">
        <v>0</v>
      </c>
      <c r="D12" s="32">
        <v>0.02</v>
      </c>
      <c r="E12" s="6" t="s">
        <v>15</v>
      </c>
      <c r="F12" s="6"/>
      <c r="G12" s="49">
        <v>3998</v>
      </c>
      <c r="H12" s="14">
        <f>+(1+$D12)*G12</f>
        <v>4077.96</v>
      </c>
      <c r="I12" s="14">
        <f>+(1+$D12)*H12</f>
        <v>4159.5191999999997</v>
      </c>
      <c r="J12" s="14">
        <f>+(1+$D12)*I12</f>
        <v>4242.7095840000002</v>
      </c>
      <c r="K12" s="14">
        <f>+(1+$D12)*J12</f>
        <v>4327.5637756800006</v>
      </c>
      <c r="L12" s="15">
        <f>+(1+$D12)*K12</f>
        <v>4414.1150511936003</v>
      </c>
      <c r="M12" s="16"/>
      <c r="O12" s="6" t="s">
        <v>23</v>
      </c>
      <c r="P12" s="48">
        <v>0.1</v>
      </c>
      <c r="Q12" s="8"/>
    </row>
    <row r="13" spans="2:17" x14ac:dyDescent="0.25">
      <c r="B13">
        <v>9</v>
      </c>
      <c r="C13" t="s">
        <v>11</v>
      </c>
      <c r="G13" s="50">
        <f t="shared" ref="G13:L13" si="3">+G11+G12</f>
        <v>76769.080400000006</v>
      </c>
      <c r="H13" s="8">
        <f t="shared" si="3"/>
        <v>79759.883616000021</v>
      </c>
      <c r="I13" s="8">
        <f t="shared" si="3"/>
        <v>82868.719760640015</v>
      </c>
      <c r="J13" s="8">
        <f t="shared" si="3"/>
        <v>86100.278167065611</v>
      </c>
      <c r="K13" s="8">
        <f t="shared" si="3"/>
        <v>89459.435102068237</v>
      </c>
      <c r="L13" s="13">
        <f t="shared" si="3"/>
        <v>92951.261230637378</v>
      </c>
      <c r="M13" s="13"/>
      <c r="N13">
        <v>5</v>
      </c>
      <c r="O13" s="6" t="s">
        <v>24</v>
      </c>
      <c r="P13" s="17"/>
      <c r="Q13" s="8">
        <f>+L16/P12</f>
        <v>487769.88294605375</v>
      </c>
    </row>
    <row r="14" spans="2:17" x14ac:dyDescent="0.25">
      <c r="G14" s="18"/>
      <c r="H14" s="18"/>
      <c r="I14" s="18"/>
      <c r="J14" s="18"/>
      <c r="K14" s="18"/>
      <c r="L14" s="16"/>
      <c r="M14" s="16"/>
      <c r="N14">
        <v>6</v>
      </c>
      <c r="O14" s="7" t="s">
        <v>25</v>
      </c>
      <c r="P14" s="48">
        <v>0.08</v>
      </c>
      <c r="Q14" s="8">
        <f>+P14*Q13</f>
        <v>39021.590635684304</v>
      </c>
    </row>
    <row r="15" spans="2:17" x14ac:dyDescent="0.25">
      <c r="C15" t="s">
        <v>9</v>
      </c>
      <c r="D15" s="32">
        <v>0.02</v>
      </c>
      <c r="E15" s="6" t="s">
        <v>15</v>
      </c>
      <c r="G15" s="51">
        <v>40010</v>
      </c>
      <c r="H15" s="14">
        <f>+(1+$D15)*G15</f>
        <v>40810.199999999997</v>
      </c>
      <c r="I15" s="14">
        <f>+(1+$D15)*H15</f>
        <v>41626.403999999995</v>
      </c>
      <c r="J15" s="14">
        <f>+(1+$D15)*I15</f>
        <v>42458.932079999999</v>
      </c>
      <c r="K15" s="14">
        <f>+(1+$D15)*J15</f>
        <v>43308.110721600002</v>
      </c>
      <c r="L15" s="15">
        <f>+(1+$D15)*K15</f>
        <v>44174.272936032001</v>
      </c>
      <c r="M15" s="16"/>
      <c r="N15">
        <v>7</v>
      </c>
      <c r="O15" s="7" t="s">
        <v>26</v>
      </c>
      <c r="P15" s="17"/>
      <c r="Q15" s="14">
        <f>+Q9</f>
        <v>376208.63272727275</v>
      </c>
    </row>
    <row r="16" spans="2:17" x14ac:dyDescent="0.25">
      <c r="C16" s="1" t="s">
        <v>10</v>
      </c>
      <c r="G16" s="8">
        <f t="shared" ref="G16:L16" si="4">+G13-G15</f>
        <v>36759.080400000006</v>
      </c>
      <c r="H16" s="8">
        <f t="shared" si="4"/>
        <v>38949.683616000024</v>
      </c>
      <c r="I16" s="8">
        <f t="shared" si="4"/>
        <v>41242.31576064002</v>
      </c>
      <c r="J16" s="8">
        <f t="shared" si="4"/>
        <v>43641.346087065613</v>
      </c>
      <c r="K16" s="8">
        <f t="shared" si="4"/>
        <v>46151.324380468235</v>
      </c>
      <c r="L16" s="13">
        <f t="shared" si="4"/>
        <v>48776.988294605377</v>
      </c>
      <c r="M16" s="13"/>
      <c r="N16">
        <v>8</v>
      </c>
      <c r="O16" s="7" t="s">
        <v>27</v>
      </c>
      <c r="P16" s="17"/>
      <c r="Q16" s="8">
        <f>+Q13-Q14-Q15</f>
        <v>72539.659583096683</v>
      </c>
    </row>
    <row r="17" spans="2:21" x14ac:dyDescent="0.25">
      <c r="E17" s="6" t="s">
        <v>66</v>
      </c>
      <c r="G17" s="9">
        <f>+price*E44</f>
        <v>329250</v>
      </c>
      <c r="H17" s="8"/>
      <c r="I17" s="8"/>
      <c r="J17" s="8"/>
      <c r="K17" s="8"/>
      <c r="L17" s="8"/>
      <c r="M17" s="8"/>
      <c r="N17">
        <v>9</v>
      </c>
      <c r="O17" s="7" t="s">
        <v>28</v>
      </c>
      <c r="P17" s="17"/>
      <c r="Q17" s="14">
        <f>+Q8</f>
        <v>62791.367272727264</v>
      </c>
    </row>
    <row r="18" spans="2:21" x14ac:dyDescent="0.25">
      <c r="C18" s="6" t="s">
        <v>29</v>
      </c>
      <c r="G18" s="19">
        <f>-FV($E$45/12,12*G4,-$I$45,$G$17,0)</f>
        <v>325569.88889344927</v>
      </c>
      <c r="H18" s="19">
        <f>-FV($E$45/12,12*H4,-$I$45,$G$17,0)</f>
        <v>321643.31393051776</v>
      </c>
      <c r="I18" s="19">
        <f>-FV($E$45/12,12*I4,-$I$45,$G$17,0)</f>
        <v>317453.76897029183</v>
      </c>
      <c r="J18" s="19">
        <f>-FV($E$45/12,12*J4,-$I$45,$G$17,0)</f>
        <v>312983.64242503175</v>
      </c>
      <c r="K18" s="19">
        <f>-FV($E$45/12,12*K4,-$I$45,$G$17,0)</f>
        <v>308214.14322634984</v>
      </c>
      <c r="L18" s="19"/>
      <c r="M18" s="19"/>
      <c r="N18">
        <v>10</v>
      </c>
      <c r="O18" s="7" t="s">
        <v>30</v>
      </c>
      <c r="P18" s="17"/>
      <c r="Q18" s="8">
        <f>+Q16-Q17</f>
        <v>9748.2923103694193</v>
      </c>
    </row>
    <row r="19" spans="2:21" x14ac:dyDescent="0.25">
      <c r="C19" s="6" t="s">
        <v>7</v>
      </c>
      <c r="G19" s="8">
        <f>+I46</f>
        <v>24973.007608206994</v>
      </c>
      <c r="H19" s="8">
        <f>+G19</f>
        <v>24973.007608206994</v>
      </c>
      <c r="I19" s="8">
        <f>+H19</f>
        <v>24973.007608206994</v>
      </c>
      <c r="J19" s="8">
        <f>+I19</f>
        <v>24973.007608206994</v>
      </c>
      <c r="K19" s="8">
        <f>+J19</f>
        <v>24973.007608206994</v>
      </c>
      <c r="L19" s="8"/>
      <c r="M19" s="8"/>
      <c r="O19" s="7"/>
      <c r="P19" s="17"/>
      <c r="Q19" s="8"/>
    </row>
    <row r="20" spans="2:21" x14ac:dyDescent="0.25">
      <c r="B20" s="7" t="s">
        <v>31</v>
      </c>
      <c r="C20" s="6" t="s">
        <v>32</v>
      </c>
      <c r="G20" s="20">
        <f>+G17-'5year+sale'!G18</f>
        <v>3680.1111065507284</v>
      </c>
      <c r="H20" s="14">
        <f>+G18-H18</f>
        <v>3926.5749629315105</v>
      </c>
      <c r="I20" s="14">
        <f>+H18-I18</f>
        <v>4189.5449602259323</v>
      </c>
      <c r="J20" s="14">
        <f>+I18-J18</f>
        <v>4470.1265452600783</v>
      </c>
      <c r="K20" s="14">
        <f>+J18-K18</f>
        <v>4769.4991986819077</v>
      </c>
      <c r="L20" s="18"/>
      <c r="M20" s="18"/>
      <c r="N20" s="1" t="s">
        <v>33</v>
      </c>
      <c r="P20" s="17"/>
    </row>
    <row r="21" spans="2:21" x14ac:dyDescent="0.25">
      <c r="B21" s="7" t="s">
        <v>34</v>
      </c>
      <c r="C21" s="6" t="s">
        <v>35</v>
      </c>
      <c r="G21" s="8">
        <f>+G19-G20</f>
        <v>21292.896501656265</v>
      </c>
      <c r="H21" s="8">
        <f>+H19-H20</f>
        <v>21046.432645275483</v>
      </c>
      <c r="I21" s="8">
        <f>+I19-I20</f>
        <v>20783.462647981061</v>
      </c>
      <c r="J21" s="8">
        <f>+J19-J20</f>
        <v>20502.881062946915</v>
      </c>
      <c r="K21" s="8">
        <f>+K19-K20</f>
        <v>20203.508409525086</v>
      </c>
      <c r="L21" s="8"/>
      <c r="M21" s="8"/>
      <c r="N21">
        <v>11</v>
      </c>
      <c r="O21" s="6" t="s">
        <v>36</v>
      </c>
      <c r="P21" s="17"/>
      <c r="Q21" s="8">
        <f>+Q13</f>
        <v>487769.88294605375</v>
      </c>
    </row>
    <row r="22" spans="2:21" x14ac:dyDescent="0.25">
      <c r="B22" s="7" t="s">
        <v>31</v>
      </c>
      <c r="C22" s="6" t="s">
        <v>37</v>
      </c>
      <c r="D22" s="31">
        <v>27.5</v>
      </c>
      <c r="E22" s="6" t="s">
        <v>38</v>
      </c>
      <c r="F22" s="30">
        <v>0.8</v>
      </c>
      <c r="G22" s="8">
        <f>+($F$22*price)*0.03485</f>
        <v>12239.32</v>
      </c>
      <c r="H22" s="8">
        <f>+price*$F$22/$D$22</f>
        <v>12770.90909090909</v>
      </c>
      <c r="I22" s="8">
        <f>+price*$F$22/$D$22</f>
        <v>12770.90909090909</v>
      </c>
      <c r="J22" s="8">
        <f>+price*$F$22/$D$22</f>
        <v>12770.90909090909</v>
      </c>
      <c r="K22" s="8">
        <f>+($F$22*price)*0.03485</f>
        <v>12239.32</v>
      </c>
      <c r="L22" s="6" t="s">
        <v>39</v>
      </c>
      <c r="M22" s="6"/>
      <c r="N22">
        <v>12</v>
      </c>
      <c r="O22" s="7" t="s">
        <v>40</v>
      </c>
      <c r="P22" s="17"/>
      <c r="Q22" s="8">
        <f>+Q14</f>
        <v>39021.590635684304</v>
      </c>
    </row>
    <row r="23" spans="2:21" x14ac:dyDescent="0.25">
      <c r="B23" s="7" t="s">
        <v>34</v>
      </c>
      <c r="C23" t="s">
        <v>41</v>
      </c>
      <c r="E23" s="6"/>
      <c r="F23" s="6"/>
      <c r="G23" s="8">
        <f>+G16-G21-G22</f>
        <v>3226.8638983437413</v>
      </c>
      <c r="H23" s="8">
        <f>+H16-H21-H22</f>
        <v>5132.3418798154507</v>
      </c>
      <c r="I23" s="8">
        <f>+I16-I21-I22</f>
        <v>7687.9440217498686</v>
      </c>
      <c r="J23" s="8">
        <f>+J16-J21-J22</f>
        <v>10367.555933209607</v>
      </c>
      <c r="K23" s="8">
        <f>+K16-K21-K22</f>
        <v>13708.49597094315</v>
      </c>
      <c r="L23" s="8"/>
      <c r="M23" s="8"/>
      <c r="N23">
        <v>13</v>
      </c>
      <c r="O23" s="7" t="s">
        <v>42</v>
      </c>
      <c r="P23" s="17"/>
      <c r="Q23" s="14">
        <f>+K18</f>
        <v>308214.14322634984</v>
      </c>
    </row>
    <row r="24" spans="2:21" x14ac:dyDescent="0.25">
      <c r="C24" s="6" t="s">
        <v>43</v>
      </c>
      <c r="F24" s="30">
        <v>0.35</v>
      </c>
      <c r="G24" s="8">
        <f>IF(G23&gt;0.01,$F$24*G23,0)</f>
        <v>1129.4023644203094</v>
      </c>
      <c r="H24" s="8">
        <f>IF(H23&gt;0.01,$F$24*H23,0)</f>
        <v>1796.3196579354076</v>
      </c>
      <c r="I24" s="8">
        <f>IF(I23&gt;0.01,$F$24*I23,0)</f>
        <v>2690.7804076124539</v>
      </c>
      <c r="J24" s="8">
        <f>IF(J23&gt;0.01,$F$24*J23,0)</f>
        <v>3628.6445766233624</v>
      </c>
      <c r="K24" s="8">
        <f>IF(K23&gt;0.01,$F$24*K23,0)</f>
        <v>4797.9735898301024</v>
      </c>
      <c r="L24" s="8"/>
      <c r="M24" s="8"/>
      <c r="N24">
        <v>14</v>
      </c>
      <c r="O24" s="21" t="s">
        <v>44</v>
      </c>
      <c r="P24" s="17"/>
      <c r="Q24" s="8">
        <f>+Q21-Q22-Q23</f>
        <v>140534.14908401959</v>
      </c>
    </row>
    <row r="25" spans="2:21" x14ac:dyDescent="0.25">
      <c r="C25" s="6"/>
      <c r="G25" s="8"/>
      <c r="H25" s="8"/>
      <c r="I25" s="8"/>
      <c r="J25" s="8"/>
      <c r="K25" s="8"/>
      <c r="L25" s="8"/>
      <c r="M25" s="8"/>
      <c r="N25">
        <v>16</v>
      </c>
      <c r="O25" s="7" t="s">
        <v>45</v>
      </c>
      <c r="P25" s="48">
        <v>0.25</v>
      </c>
      <c r="Q25" s="8">
        <f>+P25*Q17</f>
        <v>15697.841818181816</v>
      </c>
    </row>
    <row r="26" spans="2:21" x14ac:dyDescent="0.25">
      <c r="C26" s="6" t="s">
        <v>46</v>
      </c>
      <c r="G26" s="8">
        <f>+G16</f>
        <v>36759.080400000006</v>
      </c>
      <c r="H26" s="8">
        <f>+H16</f>
        <v>38949.683616000024</v>
      </c>
      <c r="I26" s="8">
        <f>+I16</f>
        <v>41242.31576064002</v>
      </c>
      <c r="J26" s="8">
        <f>+J16</f>
        <v>43641.346087065613</v>
      </c>
      <c r="K26" s="8">
        <f>+K16</f>
        <v>46151.324380468235</v>
      </c>
      <c r="L26" s="8"/>
      <c r="M26" s="8"/>
      <c r="N26">
        <v>17</v>
      </c>
      <c r="O26" s="7" t="s">
        <v>47</v>
      </c>
      <c r="P26" s="48">
        <v>0.15</v>
      </c>
      <c r="Q26" s="14">
        <f>+P26*Q18</f>
        <v>1462.2438465554128</v>
      </c>
    </row>
    <row r="27" spans="2:21" x14ac:dyDescent="0.25">
      <c r="B27" s="7" t="s">
        <v>31</v>
      </c>
      <c r="C27" s="6" t="s">
        <v>48</v>
      </c>
      <c r="G27" s="14">
        <f>+G19</f>
        <v>24973.007608206994</v>
      </c>
      <c r="H27" s="14">
        <f>+H19</f>
        <v>24973.007608206994</v>
      </c>
      <c r="I27" s="14">
        <f>+I19</f>
        <v>24973.007608206994</v>
      </c>
      <c r="J27" s="14">
        <f>+J19</f>
        <v>24973.007608206994</v>
      </c>
      <c r="K27" s="14">
        <f>+K19</f>
        <v>24973.007608206994</v>
      </c>
      <c r="L27" s="18"/>
      <c r="M27" s="18"/>
      <c r="N27">
        <v>18</v>
      </c>
      <c r="O27" s="21" t="s">
        <v>49</v>
      </c>
      <c r="Q27" s="8">
        <f>+Q24-Q25-Q26</f>
        <v>123374.06341928236</v>
      </c>
    </row>
    <row r="28" spans="2:21" x14ac:dyDescent="0.25">
      <c r="B28" s="4" t="s">
        <v>34</v>
      </c>
      <c r="C28" s="1" t="s">
        <v>50</v>
      </c>
      <c r="G28" s="8">
        <f>+G26-G27</f>
        <v>11786.072791793013</v>
      </c>
      <c r="H28" s="8">
        <f>+H26-H27</f>
        <v>13976.67600779303</v>
      </c>
      <c r="I28" s="8">
        <f>+I26-I27</f>
        <v>16269.308152433026</v>
      </c>
      <c r="J28" s="8">
        <f>+J26-J27</f>
        <v>18668.338478858619</v>
      </c>
      <c r="K28" s="8">
        <f>+K26-K27</f>
        <v>21178.316772261242</v>
      </c>
      <c r="L28" s="8"/>
      <c r="M28" s="8"/>
      <c r="O28" s="21"/>
      <c r="Q28" s="8"/>
      <c r="U28" s="6" t="s">
        <v>67</v>
      </c>
    </row>
    <row r="29" spans="2:21" x14ac:dyDescent="0.25">
      <c r="B29" s="7" t="s">
        <v>31</v>
      </c>
      <c r="C29" s="6" t="s">
        <v>51</v>
      </c>
      <c r="G29" s="14">
        <f>+G24</f>
        <v>1129.4023644203094</v>
      </c>
      <c r="H29" s="14">
        <f>+H24</f>
        <v>1796.3196579354076</v>
      </c>
      <c r="I29" s="14">
        <f>+I24</f>
        <v>2690.7804076124539</v>
      </c>
      <c r="J29" s="14">
        <f>+J24</f>
        <v>3628.6445766233624</v>
      </c>
      <c r="K29" s="14">
        <f>+K24</f>
        <v>4797.9735898301024</v>
      </c>
      <c r="L29" s="18"/>
      <c r="M29" s="18"/>
      <c r="P29" s="36" t="s">
        <v>53</v>
      </c>
      <c r="Q29" s="37"/>
      <c r="R29" s="38"/>
      <c r="S29" s="39">
        <f>IRR(U31:U36)</f>
        <v>9.686475186911836E-2</v>
      </c>
      <c r="U29" s="6" t="s">
        <v>54</v>
      </c>
    </row>
    <row r="30" spans="2:21" x14ac:dyDescent="0.25">
      <c r="B30" s="7"/>
      <c r="C30" s="6"/>
      <c r="G30" s="8">
        <f>+G28-G29</f>
        <v>10656.670427372703</v>
      </c>
      <c r="H30" s="8">
        <f>+H28-H29</f>
        <v>12180.356349857622</v>
      </c>
      <c r="I30" s="8">
        <f>+I28-I29</f>
        <v>13578.527744820572</v>
      </c>
      <c r="J30" s="8">
        <f>+J28-J29</f>
        <v>15039.693902235256</v>
      </c>
      <c r="K30" s="8">
        <f>+K28-K29</f>
        <v>16380.343182431139</v>
      </c>
      <c r="L30" s="18"/>
      <c r="M30" s="18"/>
      <c r="O30" s="1" t="s">
        <v>68</v>
      </c>
      <c r="P30" s="40" t="s">
        <v>55</v>
      </c>
      <c r="Q30" s="22" t="s">
        <v>56</v>
      </c>
      <c r="R30" s="41"/>
      <c r="S30" s="42"/>
    </row>
    <row r="31" spans="2:21" x14ac:dyDescent="0.25">
      <c r="B31" s="7"/>
      <c r="C31" s="6"/>
      <c r="G31" s="18"/>
      <c r="H31" s="18"/>
      <c r="I31" s="18"/>
      <c r="J31" s="18"/>
      <c r="K31" s="18"/>
      <c r="L31" s="18"/>
      <c r="M31" s="18"/>
      <c r="P31" s="43">
        <v>0</v>
      </c>
      <c r="Q31" s="23">
        <f>-price</f>
        <v>-439000</v>
      </c>
      <c r="R31" s="41"/>
      <c r="S31" s="42"/>
      <c r="U31" s="3">
        <f>+Q31</f>
        <v>-439000</v>
      </c>
    </row>
    <row r="32" spans="2:21" x14ac:dyDescent="0.25">
      <c r="B32" s="7"/>
      <c r="C32" s="6"/>
      <c r="G32" s="18"/>
      <c r="H32" s="18"/>
      <c r="I32" s="18"/>
      <c r="J32" s="18"/>
      <c r="K32" s="18"/>
      <c r="L32" s="18"/>
      <c r="M32" s="18"/>
      <c r="P32" s="43">
        <v>1</v>
      </c>
      <c r="Q32" s="24">
        <f>+G16</f>
        <v>36759.080400000006</v>
      </c>
      <c r="R32" s="41"/>
      <c r="S32" s="42"/>
      <c r="U32" s="3">
        <f>+Q32</f>
        <v>36759.080400000006</v>
      </c>
    </row>
    <row r="33" spans="2:21" x14ac:dyDescent="0.25">
      <c r="B33" s="7"/>
      <c r="C33" s="6"/>
      <c r="G33" s="18"/>
      <c r="H33" s="18"/>
      <c r="I33" s="18"/>
      <c r="J33" s="18"/>
      <c r="K33" s="18"/>
      <c r="L33" s="18"/>
      <c r="M33" s="18"/>
      <c r="P33" s="43">
        <v>2</v>
      </c>
      <c r="Q33" s="24">
        <f>+H16</f>
        <v>38949.683616000024</v>
      </c>
      <c r="R33" s="41"/>
      <c r="S33" s="42"/>
      <c r="U33" s="3">
        <f>+Q33</f>
        <v>38949.683616000024</v>
      </c>
    </row>
    <row r="34" spans="2:21" x14ac:dyDescent="0.25">
      <c r="B34" s="7"/>
      <c r="C34" s="6"/>
      <c r="G34" s="18"/>
      <c r="H34" s="18"/>
      <c r="I34" s="18"/>
      <c r="J34" s="18"/>
      <c r="K34" s="18"/>
      <c r="L34" s="18"/>
      <c r="M34" s="18"/>
      <c r="P34" s="43">
        <v>3</v>
      </c>
      <c r="Q34" s="24">
        <f>+I16</f>
        <v>41242.31576064002</v>
      </c>
      <c r="R34" s="41"/>
      <c r="S34" s="42"/>
      <c r="U34" s="3">
        <f>+Q34</f>
        <v>41242.31576064002</v>
      </c>
    </row>
    <row r="35" spans="2:21" x14ac:dyDescent="0.25">
      <c r="B35" s="7"/>
      <c r="C35" s="6"/>
      <c r="G35" s="18"/>
      <c r="H35" s="18"/>
      <c r="I35" s="18"/>
      <c r="J35" s="18"/>
      <c r="K35" s="18"/>
      <c r="L35" s="18"/>
      <c r="M35" s="18"/>
      <c r="P35" s="43">
        <v>4</v>
      </c>
      <c r="Q35" s="24">
        <f>+J26</f>
        <v>43641.346087065613</v>
      </c>
      <c r="R35" s="41"/>
      <c r="S35" s="42"/>
      <c r="U35" s="3">
        <f>+Q35</f>
        <v>43641.346087065613</v>
      </c>
    </row>
    <row r="36" spans="2:21" x14ac:dyDescent="0.25">
      <c r="B36" s="7"/>
      <c r="C36" s="6"/>
      <c r="G36" s="18"/>
      <c r="H36" s="18"/>
      <c r="I36" s="18"/>
      <c r="J36" s="18"/>
      <c r="K36" s="18"/>
      <c r="L36" s="18"/>
      <c r="M36" s="18"/>
      <c r="P36" s="44">
        <v>5</v>
      </c>
      <c r="Q36" s="45">
        <f>+K26</f>
        <v>46151.324380468235</v>
      </c>
      <c r="R36" s="46" t="s">
        <v>57</v>
      </c>
      <c r="S36" s="47">
        <f>+Q24+Q23</f>
        <v>448748.29231036943</v>
      </c>
      <c r="U36" s="3">
        <f>+Q36+S36</f>
        <v>494899.61669083766</v>
      </c>
    </row>
    <row r="37" spans="2:21" x14ac:dyDescent="0.25">
      <c r="B37" s="7"/>
      <c r="C37" s="6"/>
      <c r="G37" s="18"/>
      <c r="H37" s="18"/>
      <c r="I37" s="18"/>
      <c r="J37" s="18"/>
      <c r="K37" s="18"/>
      <c r="L37" s="18"/>
      <c r="M37" s="18"/>
      <c r="Q37" s="8"/>
      <c r="U37" s="6"/>
    </row>
    <row r="38" spans="2:21" x14ac:dyDescent="0.25">
      <c r="B38" s="7" t="s">
        <v>34</v>
      </c>
      <c r="C38" s="1" t="s">
        <v>52</v>
      </c>
      <c r="L38" s="8"/>
      <c r="M38" s="8"/>
      <c r="O38" s="1" t="s">
        <v>69</v>
      </c>
      <c r="P38" s="36" t="s">
        <v>53</v>
      </c>
      <c r="Q38" s="37"/>
      <c r="R38" s="38"/>
      <c r="S38" s="39">
        <f>IRR(U40:U45)</f>
        <v>0.18129166874853841</v>
      </c>
      <c r="U38" s="6" t="s">
        <v>54</v>
      </c>
    </row>
    <row r="39" spans="2:21" x14ac:dyDescent="0.25">
      <c r="G39" s="8"/>
      <c r="N39" s="6"/>
      <c r="O39" s="1"/>
      <c r="P39" s="40" t="s">
        <v>55</v>
      </c>
      <c r="Q39" s="22" t="s">
        <v>56</v>
      </c>
      <c r="R39" s="41"/>
      <c r="S39" s="42"/>
    </row>
    <row r="40" spans="2:21" x14ac:dyDescent="0.25">
      <c r="G40" s="8"/>
      <c r="P40" s="43">
        <v>0</v>
      </c>
      <c r="Q40" s="23">
        <f>-(price*(1-E44))</f>
        <v>-109750</v>
      </c>
      <c r="R40" s="41"/>
      <c r="S40" s="42"/>
      <c r="U40" s="3">
        <f>+Q40</f>
        <v>-109750</v>
      </c>
    </row>
    <row r="41" spans="2:21" x14ac:dyDescent="0.25">
      <c r="G41" s="8"/>
      <c r="P41" s="43">
        <v>1</v>
      </c>
      <c r="Q41" s="24">
        <f>+G28</f>
        <v>11786.072791793013</v>
      </c>
      <c r="R41" s="41"/>
      <c r="S41" s="42"/>
      <c r="U41" s="3">
        <f>+Q41</f>
        <v>11786.072791793013</v>
      </c>
    </row>
    <row r="42" spans="2:21" x14ac:dyDescent="0.25">
      <c r="C42" s="1" t="s">
        <v>60</v>
      </c>
      <c r="G42" s="8"/>
      <c r="P42" s="43">
        <v>2</v>
      </c>
      <c r="Q42" s="24">
        <f>+H28</f>
        <v>13976.67600779303</v>
      </c>
      <c r="R42" s="41"/>
      <c r="S42" s="42"/>
      <c r="U42" s="3">
        <f>+Q42</f>
        <v>13976.67600779303</v>
      </c>
    </row>
    <row r="43" spans="2:21" x14ac:dyDescent="0.25">
      <c r="C43" s="6" t="s">
        <v>61</v>
      </c>
      <c r="E43" s="27">
        <v>439000</v>
      </c>
      <c r="G43" s="8"/>
      <c r="P43" s="43">
        <v>3</v>
      </c>
      <c r="Q43" s="24">
        <f>+I28</f>
        <v>16269.308152433026</v>
      </c>
      <c r="R43" s="41"/>
      <c r="S43" s="42"/>
      <c r="U43" s="3">
        <f>+Q43</f>
        <v>16269.308152433026</v>
      </c>
    </row>
    <row r="44" spans="2:21" x14ac:dyDescent="0.25">
      <c r="C44" s="6" t="s">
        <v>8</v>
      </c>
      <c r="E44" s="28">
        <v>0.75</v>
      </c>
      <c r="G44" s="8"/>
      <c r="P44" s="43">
        <v>4</v>
      </c>
      <c r="Q44" s="24">
        <f>+J28</f>
        <v>18668.338478858619</v>
      </c>
      <c r="R44" s="41"/>
      <c r="S44" s="42"/>
      <c r="U44" s="3">
        <f>+Q44</f>
        <v>18668.338478858619</v>
      </c>
    </row>
    <row r="45" spans="2:21" x14ac:dyDescent="0.25">
      <c r="C45" s="6" t="s">
        <v>74</v>
      </c>
      <c r="E45" s="28">
        <v>6.5000000000000002E-2</v>
      </c>
      <c r="F45" s="6" t="s">
        <v>64</v>
      </c>
      <c r="G45" s="8"/>
      <c r="H45" s="6" t="s">
        <v>65</v>
      </c>
      <c r="I45" s="25">
        <f>-PMT(E45/12,12*E46,price*E44,0)</f>
        <v>2081.083967350583</v>
      </c>
      <c r="P45" s="44">
        <v>5</v>
      </c>
      <c r="Q45" s="45">
        <f>+K28</f>
        <v>21178.316772261242</v>
      </c>
      <c r="R45" s="46" t="s">
        <v>57</v>
      </c>
      <c r="S45" s="47">
        <f>+Q24</f>
        <v>140534.14908401959</v>
      </c>
      <c r="U45" s="3">
        <f>+Q45+S45</f>
        <v>161712.46585628082</v>
      </c>
    </row>
    <row r="46" spans="2:21" x14ac:dyDescent="0.25">
      <c r="C46" s="6" t="s">
        <v>62</v>
      </c>
      <c r="E46" s="29">
        <v>30</v>
      </c>
      <c r="F46" s="6" t="s">
        <v>63</v>
      </c>
      <c r="G46" s="8"/>
      <c r="H46" s="6" t="s">
        <v>7</v>
      </c>
      <c r="I46" s="26">
        <f>+I45*12</f>
        <v>24973.007608206994</v>
      </c>
      <c r="P46" s="2"/>
    </row>
    <row r="48" spans="2:21" x14ac:dyDescent="0.25">
      <c r="G48" s="8"/>
      <c r="O48" s="1" t="s">
        <v>70</v>
      </c>
      <c r="P48" s="36" t="s">
        <v>58</v>
      </c>
      <c r="Q48" s="37"/>
      <c r="R48" s="38"/>
      <c r="S48" s="39">
        <f>IRR(U50:U55)</f>
        <v>0.13905887890197866</v>
      </c>
    </row>
    <row r="49" spans="3:21" x14ac:dyDescent="0.25">
      <c r="G49" s="8"/>
      <c r="P49" s="40" t="s">
        <v>55</v>
      </c>
      <c r="Q49" s="22" t="s">
        <v>56</v>
      </c>
      <c r="R49" s="41"/>
      <c r="S49" s="42"/>
    </row>
    <row r="50" spans="3:21" x14ac:dyDescent="0.25">
      <c r="C50" s="1" t="s">
        <v>71</v>
      </c>
      <c r="G50" s="8"/>
      <c r="P50" s="43">
        <v>0</v>
      </c>
      <c r="Q50" s="23">
        <f>+Q40</f>
        <v>-109750</v>
      </c>
      <c r="R50" s="41"/>
      <c r="S50" s="42"/>
      <c r="U50" s="3">
        <f>+Q50</f>
        <v>-109750</v>
      </c>
    </row>
    <row r="51" spans="3:21" x14ac:dyDescent="0.25">
      <c r="C51" s="6" t="s">
        <v>72</v>
      </c>
      <c r="E51" s="35">
        <f>+G16/price</f>
        <v>8.3733668337129849E-2</v>
      </c>
      <c r="G51" s="8"/>
      <c r="P51" s="43">
        <v>1</v>
      </c>
      <c r="Q51" s="24">
        <f>+G30</f>
        <v>10656.670427372703</v>
      </c>
      <c r="R51" s="41"/>
      <c r="S51" s="42"/>
      <c r="U51" s="3">
        <f>+Q51</f>
        <v>10656.670427372703</v>
      </c>
    </row>
    <row r="52" spans="3:21" x14ac:dyDescent="0.25">
      <c r="C52" s="6" t="s">
        <v>73</v>
      </c>
      <c r="E52" s="35">
        <f>+G28/-Q40</f>
        <v>0.10739018489105251</v>
      </c>
      <c r="G52" s="8"/>
      <c r="P52" s="43">
        <v>2</v>
      </c>
      <c r="Q52" s="24">
        <f>+H30</f>
        <v>12180.356349857622</v>
      </c>
      <c r="R52" s="41"/>
      <c r="S52" s="42"/>
      <c r="U52" s="3">
        <f>+Q52</f>
        <v>12180.356349857622</v>
      </c>
    </row>
    <row r="53" spans="3:21" x14ac:dyDescent="0.25">
      <c r="G53" s="8"/>
      <c r="P53" s="43">
        <v>3</v>
      </c>
      <c r="Q53" s="24">
        <f>+I30</f>
        <v>13578.527744820572</v>
      </c>
      <c r="R53" s="41"/>
      <c r="S53" s="42"/>
      <c r="U53" s="3">
        <f>+Q53</f>
        <v>13578.527744820572</v>
      </c>
    </row>
    <row r="54" spans="3:21" x14ac:dyDescent="0.25">
      <c r="G54" s="8"/>
      <c r="P54" s="43">
        <v>4</v>
      </c>
      <c r="Q54" s="24">
        <f>+J30</f>
        <v>15039.693902235256</v>
      </c>
      <c r="R54" s="41"/>
      <c r="S54" s="42"/>
      <c r="U54" s="3">
        <f>+Q54</f>
        <v>15039.693902235256</v>
      </c>
    </row>
    <row r="55" spans="3:21" x14ac:dyDescent="0.25">
      <c r="G55" s="8"/>
      <c r="P55" s="44">
        <v>5</v>
      </c>
      <c r="Q55" s="45">
        <f>+K30</f>
        <v>16380.343182431139</v>
      </c>
      <c r="R55" s="46" t="s">
        <v>57</v>
      </c>
      <c r="S55" s="47">
        <f>+Q27</f>
        <v>123374.06341928236</v>
      </c>
      <c r="U55" s="3">
        <f>+Q55+S55</f>
        <v>139754.4066017135</v>
      </c>
    </row>
    <row r="56" spans="3:21" x14ac:dyDescent="0.25">
      <c r="C56" t="s">
        <v>75</v>
      </c>
      <c r="G56" s="8"/>
    </row>
    <row r="57" spans="3:21" x14ac:dyDescent="0.25">
      <c r="G57" s="8"/>
      <c r="O57" s="1" t="s">
        <v>59</v>
      </c>
      <c r="P57" s="1"/>
      <c r="R57" s="1"/>
      <c r="S57" s="34">
        <f>+(S38-S48)/S38</f>
        <v>0.23295494016958374</v>
      </c>
    </row>
    <row r="58" spans="3:21" x14ac:dyDescent="0.25">
      <c r="G58" s="8"/>
    </row>
    <row r="83" spans="4:4" x14ac:dyDescent="0.25">
      <c r="D83" s="5" t="e">
        <f>IRR(D76:D81,0.1)</f>
        <v>#NUM!</v>
      </c>
    </row>
  </sheetData>
  <pageMargins left="0.25" right="0.25" top="0.75" bottom="0.75" header="0.3" footer="0.3"/>
  <pageSetup paperSize="17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5year+sale</vt:lpstr>
      <vt:lpstr>price</vt:lpstr>
      <vt:lpstr>'5year+sale'!Print_Area</vt:lpstr>
    </vt:vector>
  </TitlesOfParts>
  <Company>NM Apartment Advisors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Clarke</dc:creator>
  <cp:lastModifiedBy>Todd Clarke</cp:lastModifiedBy>
  <cp:lastPrinted>2012-07-25T19:40:26Z</cp:lastPrinted>
  <dcterms:created xsi:type="dcterms:W3CDTF">2005-09-03T22:29:09Z</dcterms:created>
  <dcterms:modified xsi:type="dcterms:W3CDTF">2012-09-14T20:29:27Z</dcterms:modified>
</cp:coreProperties>
</file>